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480" windowHeight="9150" activeTab="0"/>
  </bookViews>
  <sheets>
    <sheet name="รับ-จ่ายสรุป" sheetId="1" r:id="rId1"/>
  </sheets>
  <definedNames>
    <definedName name="_xlnm.Print_Area" localSheetId="0">'รับ-จ่ายสรุป'!$A$1:$N$39</definedName>
  </definedNames>
  <calcPr fullCalcOnLoad="1"/>
</workbook>
</file>

<file path=xl/sharedStrings.xml><?xml version="1.0" encoding="utf-8"?>
<sst xmlns="http://schemas.openxmlformats.org/spreadsheetml/2006/main" count="60" uniqueCount="47">
  <si>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</si>
  <si>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</si>
  <si>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</si>
  <si>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</si>
  <si>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</si>
  <si>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</si>
  <si>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</si>
  <si>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</si>
  <si>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</si>
  <si>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</si>
  <si>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</si>
  <si>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</si>
  <si>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บัญชีรายละเอียดรายรับ - จ่ายจริง</t>
  </si>
  <si>
    <t>องค์การบริหารส่วนตำบลกุศกร   อำเภอตระการพืชผล   จังหวัดอุบลราชธานี</t>
  </si>
  <si>
    <t>ประจำปีงบประมาณ 2561</t>
  </si>
  <si>
    <t>*** ข้อมูลปีงบประมาณ 2561</t>
  </si>
  <si>
    <t>ไตรมาสที่ 1</t>
  </si>
  <si>
    <t>ไตรมาสที่ 2</t>
  </si>
  <si>
    <t>ไตรมาสที่ 3</t>
  </si>
  <si>
    <t>ไตรมาสที่  4</t>
  </si>
  <si>
    <t>ยอดรวม</t>
  </si>
  <si>
    <t>รายรับ</t>
  </si>
  <si>
    <t>1. ภาษีอากร</t>
  </si>
  <si>
    <t>2.ค่าธรรมเนียม ค่าปรับและใบอนุญาต</t>
  </si>
  <si>
    <t>3. รายได้จากทรัพย์สิน</t>
  </si>
  <si>
    <t>4. รายได้จากสาธารณูปโภคและการพาณิชย์</t>
  </si>
  <si>
    <t>5. รายได้เบ็ดเตล็ด</t>
  </si>
  <si>
    <t>6. รายได้จากทุน</t>
  </si>
  <si>
    <t>7. ภาษีจัดสรร</t>
  </si>
  <si>
    <t>8. เงินอุดหนุนทั่วไป</t>
  </si>
  <si>
    <t>9. เงินอุดหนุนระบุวัตถุประสงค์/เฉพาะกิจ</t>
  </si>
  <si>
    <t>รวมรายรับ</t>
  </si>
  <si>
    <t>รายจ่าย</t>
  </si>
  <si>
    <t>รวมรายจ่าย</t>
  </si>
  <si>
    <t>1. งบกลาง</t>
  </si>
  <si>
    <t>2. เงินเดือน(ฝ่ายการเมือง)</t>
  </si>
  <si>
    <t>3. เงินเดือน(ฝ่ายประจำ)</t>
  </si>
  <si>
    <t>รับจริงสูงกว่าจ่ายจริง    จำนวน</t>
  </si>
  <si>
    <t>4.  ค่าจ้างชั่วคราว</t>
  </si>
  <si>
    <t>5. ค่าตอบแทน</t>
  </si>
  <si>
    <t>6. ค่าใช้สอย</t>
  </si>
  <si>
    <t>7. ค่าวัสดุ</t>
  </si>
  <si>
    <t>8. ค่าสาธารณูปโภค</t>
  </si>
  <si>
    <t>9. ค่าครุภัณฑ์</t>
  </si>
  <si>
    <t>10. ค่าที่ดินและสิ่งก่อสร้าง</t>
  </si>
  <si>
    <t>11. รายจ่ายอื่น</t>
  </si>
  <si>
    <t>12. เงินอุดหนุน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</si>
</sst>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name val="TH SarabunPSK"/>
      <family val="2"/>
    </font>
    <font>
      <sz val="10"/>
      <color indexed="8"/>
      <name val="TH SarabunPSK"/>
      <family val="2"/>
    </font>
    <font>
      <b/>
      <i/>
      <sz val="16"/>
      <color indexed="8"/>
      <name val="TH SarabunPSK"/>
      <family val="2"/>
    </font>
    <font>
      <i/>
      <sz val="16"/>
      <color indexed="8"/>
      <name val="TH SarabunPSK"/>
      <family val="2"/>
    </font>
    <font>
      <b/>
      <i/>
      <sz val="16"/>
      <name val="TH SarabunPSK"/>
      <family val="2"/>
    </font>
    <font>
      <sz val="16"/>
      <name val="TH SarabunPSK"/>
      <family val="2"/>
    </font>
    <font>
      <b/>
      <sz val="15"/>
      <color indexed="8"/>
      <name val="TH SarabunPSK"/>
      <family val="2"/>
    </font>
    <font>
      <sz val="15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Border="1" applyAlignment="1">
      <alignment horizontal="left" readingOrder="1"/>
    </xf>
    <xf numFmtId="0" fontId="3" fillId="0" borderId="0" xfId="0" applyFont="1" applyBorder="1" applyAlignment="1">
      <alignment horizontal="left" readingOrder="1"/>
    </xf>
    <xf numFmtId="0" fontId="10" fillId="0" borderId="0" xfId="0" applyFont="1" applyBorder="1" applyAlignment="1">
      <alignment horizontal="left" readingOrder="1"/>
    </xf>
    <xf numFmtId="0" fontId="10" fillId="33" borderId="0" xfId="0" applyFont="1" applyFill="1" applyAlignment="1">
      <alignment/>
    </xf>
    <xf numFmtId="0" fontId="11" fillId="0" borderId="0" xfId="0" applyFont="1" applyBorder="1" applyAlignment="1">
      <alignment horizontal="center" readingOrder="1"/>
    </xf>
    <xf numFmtId="0" fontId="12" fillId="0" borderId="0" xfId="0" applyFont="1" applyBorder="1" applyAlignment="1">
      <alignment horizontal="center" readingOrder="1"/>
    </xf>
    <xf numFmtId="0" fontId="11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4" fontId="14" fillId="33" borderId="14" xfId="0" applyNumberFormat="1" applyFont="1" applyFill="1" applyBorder="1" applyAlignment="1">
      <alignment horizontal="left" indent="1"/>
    </xf>
    <xf numFmtId="43" fontId="14" fillId="0" borderId="14" xfId="33" applyFont="1" applyBorder="1" applyAlignment="1">
      <alignment/>
    </xf>
    <xf numFmtId="43" fontId="14" fillId="0" borderId="14" xfId="33" applyFont="1" applyFill="1" applyBorder="1" applyAlignment="1">
      <alignment/>
    </xf>
    <xf numFmtId="43" fontId="6" fillId="33" borderId="15" xfId="33" applyFont="1" applyFill="1" applyBorder="1" applyAlignment="1">
      <alignment/>
    </xf>
    <xf numFmtId="43" fontId="6" fillId="33" borderId="14" xfId="33" applyFont="1" applyFill="1" applyBorder="1" applyAlignment="1">
      <alignment/>
    </xf>
    <xf numFmtId="43" fontId="2" fillId="0" borderId="14" xfId="33" applyFont="1" applyBorder="1" applyAlignment="1">
      <alignment/>
    </xf>
    <xf numFmtId="43" fontId="9" fillId="0" borderId="14" xfId="33" applyFont="1" applyBorder="1" applyAlignment="1">
      <alignment/>
    </xf>
    <xf numFmtId="43" fontId="15" fillId="0" borderId="14" xfId="33" applyFont="1" applyFill="1" applyBorder="1" applyAlignment="1">
      <alignment/>
    </xf>
    <xf numFmtId="4" fontId="16" fillId="33" borderId="14" xfId="0" applyNumberFormat="1" applyFont="1" applyFill="1" applyBorder="1" applyAlignment="1">
      <alignment horizontal="left" indent="1"/>
    </xf>
    <xf numFmtId="43" fontId="3" fillId="33" borderId="0" xfId="0" applyNumberFormat="1" applyFont="1" applyFill="1" applyAlignment="1">
      <alignment/>
    </xf>
    <xf numFmtId="4" fontId="14" fillId="33" borderId="16" xfId="0" applyNumberFormat="1" applyFont="1" applyFill="1" applyBorder="1" applyAlignment="1">
      <alignment horizontal="left" indent="1"/>
    </xf>
    <xf numFmtId="43" fontId="6" fillId="33" borderId="16" xfId="33" applyFont="1" applyFill="1" applyBorder="1" applyAlignment="1">
      <alignment/>
    </xf>
    <xf numFmtId="43" fontId="6" fillId="33" borderId="17" xfId="33" applyFont="1" applyFill="1" applyBorder="1" applyAlignment="1">
      <alignment/>
    </xf>
    <xf numFmtId="4" fontId="13" fillId="6" borderId="18" xfId="0" applyNumberFormat="1" applyFont="1" applyFill="1" applyBorder="1" applyAlignment="1">
      <alignment horizontal="right"/>
    </xf>
    <xf numFmtId="43" fontId="12" fillId="6" borderId="18" xfId="33" applyFont="1" applyFill="1" applyBorder="1" applyAlignment="1">
      <alignment/>
    </xf>
    <xf numFmtId="43" fontId="5" fillId="13" borderId="18" xfId="33" applyFont="1" applyFill="1" applyBorder="1" applyAlignment="1">
      <alignment/>
    </xf>
    <xf numFmtId="43" fontId="4" fillId="13" borderId="18" xfId="33" applyFont="1" applyFill="1" applyBorder="1" applyAlignment="1">
      <alignment/>
    </xf>
    <xf numFmtId="4" fontId="13" fillId="13" borderId="18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readingOrder="1"/>
    </xf>
    <xf numFmtId="43" fontId="8" fillId="6" borderId="18" xfId="33" applyFont="1" applyFill="1" applyBorder="1" applyAlignment="1">
      <alignment/>
    </xf>
    <xf numFmtId="43" fontId="8" fillId="7" borderId="0" xfId="0" applyNumberFormat="1" applyFont="1" applyFill="1" applyBorder="1" applyAlignment="1">
      <alignment horizontal="left" readingOrder="1"/>
    </xf>
    <xf numFmtId="4" fontId="14" fillId="33" borderId="15" xfId="0" applyNumberFormat="1" applyFont="1" applyFill="1" applyBorder="1" applyAlignment="1">
      <alignment horizontal="left" indent="1"/>
    </xf>
    <xf numFmtId="43" fontId="14" fillId="0" borderId="15" xfId="33" applyFont="1" applyFill="1" applyBorder="1" applyAlignment="1">
      <alignment/>
    </xf>
    <xf numFmtId="4" fontId="13" fillId="6" borderId="19" xfId="0" applyNumberFormat="1" applyFont="1" applyFill="1" applyBorder="1" applyAlignment="1">
      <alignment horizontal="center" vertical="center"/>
    </xf>
    <xf numFmtId="43" fontId="11" fillId="6" borderId="19" xfId="33" applyFont="1" applyFill="1" applyBorder="1" applyAlignment="1">
      <alignment horizontal="center"/>
    </xf>
    <xf numFmtId="43" fontId="49" fillId="13" borderId="18" xfId="33" applyFont="1" applyFill="1" applyBorder="1" applyAlignment="1">
      <alignment/>
    </xf>
    <xf numFmtId="0" fontId="8" fillId="0" borderId="0" xfId="0" applyFont="1" applyBorder="1" applyAlignment="1">
      <alignment horizontal="left" readingOrder="1"/>
    </xf>
    <xf numFmtId="0" fontId="6" fillId="0" borderId="0" xfId="0" applyFont="1" applyBorder="1" applyAlignment="1">
      <alignment horizontal="left" readingOrder="1"/>
    </xf>
    <xf numFmtId="4" fontId="13" fillId="7" borderId="20" xfId="0" applyNumberFormat="1" applyFont="1" applyFill="1" applyBorder="1" applyAlignment="1">
      <alignment horizontal="center" vertical="center"/>
    </xf>
    <xf numFmtId="4" fontId="13" fillId="7" borderId="21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171450</xdr:rowOff>
    </xdr:from>
    <xdr:to>
      <xdr:col>0</xdr:col>
      <xdr:colOff>295275</xdr:colOff>
      <xdr:row>3</xdr:row>
      <xdr:rowOff>123825</xdr:rowOff>
    </xdr:to>
    <xdr:sp>
      <xdr:nvSpPr>
        <xdr:cNvPr id="1" name="Straight Arrow Connector 4"/>
        <xdr:cNvSpPr>
          <a:spLocks/>
        </xdr:cNvSpPr>
      </xdr:nvSpPr>
      <xdr:spPr>
        <a:xfrm rot="5400000">
          <a:off x="295275" y="733425"/>
          <a:ext cx="0" cy="2190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34"/>
  <sheetViews>
    <sheetView tabSelected="1" view="pageBreakPreview" zoomScale="87" zoomScaleNormal="90" zoomScaleSheetLayoutView="87" workbookViewId="0" topLeftCell="A17">
      <selection activeCell="A34" sqref="A34:N34"/>
    </sheetView>
  </sheetViews>
  <sheetFormatPr defaultColWidth="9.140625" defaultRowHeight="15"/>
  <cols>
    <col min="1" max="1" width="29.8515625" style="1" customWidth="1"/>
    <col min="2" max="2" width="11.140625" style="1" customWidth="1"/>
    <col min="3" max="3" width="11.57421875" style="7" customWidth="1"/>
    <col min="4" max="4" width="11.57421875" style="1" customWidth="1"/>
    <col min="5" max="5" width="11.421875" style="1" customWidth="1"/>
    <col min="6" max="6" width="10.8515625" style="1" customWidth="1"/>
    <col min="7" max="7" width="11.57421875" style="1" customWidth="1"/>
    <col min="8" max="8" width="11.140625" style="1" customWidth="1"/>
    <col min="9" max="9" width="11.28125" style="1" customWidth="1"/>
    <col min="10" max="10" width="11.57421875" style="1" customWidth="1"/>
    <col min="11" max="11" width="12.421875" style="1" customWidth="1"/>
    <col min="12" max="12" width="12.00390625" style="1" customWidth="1"/>
    <col min="13" max="13" width="11.00390625" style="1" customWidth="1"/>
    <col min="14" max="14" width="14.7109375" style="1" customWidth="1"/>
    <col min="15" max="16384" width="9.00390625" style="1" customWidth="1"/>
  </cols>
  <sheetData>
    <row r="1" spans="1:14" ht="23.25" customHeight="1">
      <c r="A1" s="44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1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21">
      <c r="A3" s="45" t="s">
        <v>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s="2" customFormat="1" ht="10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21.75" customHeight="1">
      <c r="A5" s="42" t="s">
        <v>21</v>
      </c>
      <c r="B5" s="10"/>
      <c r="C5" s="11" t="s">
        <v>16</v>
      </c>
      <c r="D5" s="12"/>
      <c r="E5" s="11"/>
      <c r="F5" s="11" t="s">
        <v>17</v>
      </c>
      <c r="G5" s="12"/>
      <c r="H5" s="11"/>
      <c r="I5" s="11" t="s">
        <v>18</v>
      </c>
      <c r="J5" s="12"/>
      <c r="K5" s="11"/>
      <c r="L5" s="11" t="s">
        <v>19</v>
      </c>
      <c r="M5" s="12"/>
      <c r="N5" s="46" t="s">
        <v>20</v>
      </c>
    </row>
    <row r="6" spans="1:14" ht="21.75" customHeight="1">
      <c r="A6" s="43"/>
      <c r="B6" s="13" t="s">
        <v>0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11</v>
      </c>
      <c r="N6" s="47"/>
    </row>
    <row r="7" spans="1:14" s="3" customFormat="1" ht="21.75" customHeight="1">
      <c r="A7" s="22" t="s">
        <v>22</v>
      </c>
      <c r="B7" s="19">
        <v>0</v>
      </c>
      <c r="C7" s="19">
        <v>0</v>
      </c>
      <c r="D7" s="19">
        <v>0</v>
      </c>
      <c r="E7" s="19">
        <v>8831.87</v>
      </c>
      <c r="F7" s="19">
        <v>18281</v>
      </c>
      <c r="G7" s="19">
        <v>8925</v>
      </c>
      <c r="H7" s="19">
        <v>53257.96</v>
      </c>
      <c r="I7" s="19">
        <v>7235.88</v>
      </c>
      <c r="J7" s="19">
        <v>413.6</v>
      </c>
      <c r="K7" s="19">
        <v>86</v>
      </c>
      <c r="L7" s="19">
        <v>252</v>
      </c>
      <c r="M7" s="19">
        <v>0</v>
      </c>
      <c r="N7" s="21">
        <f>0+B7+C7+D7+E7+F7+G7+H7+I7+J7+K7+L7+M7</f>
        <v>97283.31000000001</v>
      </c>
    </row>
    <row r="8" spans="1:14" s="3" customFormat="1" ht="21.75" customHeight="1">
      <c r="A8" s="22" t="s">
        <v>23</v>
      </c>
      <c r="B8" s="19">
        <v>476</v>
      </c>
      <c r="C8" s="19">
        <v>375</v>
      </c>
      <c r="D8" s="19">
        <f>30847.87-9480.77-12520-7700</f>
        <v>1147.0999999999985</v>
      </c>
      <c r="E8" s="19">
        <v>2112</v>
      </c>
      <c r="F8" s="19">
        <v>6329.9</v>
      </c>
      <c r="G8" s="19">
        <v>1721.6</v>
      </c>
      <c r="H8" s="19">
        <v>1120</v>
      </c>
      <c r="I8" s="19">
        <v>380</v>
      </c>
      <c r="J8" s="19">
        <v>197.3</v>
      </c>
      <c r="K8" s="19">
        <v>190</v>
      </c>
      <c r="L8" s="19">
        <v>20</v>
      </c>
      <c r="M8" s="19">
        <v>3650</v>
      </c>
      <c r="N8" s="21">
        <f>SUM(B8:M8)</f>
        <v>17718.899999999998</v>
      </c>
    </row>
    <row r="9" spans="1:14" s="3" customFormat="1" ht="21.75" customHeight="1">
      <c r="A9" s="22" t="s">
        <v>24</v>
      </c>
      <c r="B9" s="19">
        <v>17954.8</v>
      </c>
      <c r="C9" s="19">
        <v>1283.7</v>
      </c>
      <c r="D9" s="19">
        <v>9480.77</v>
      </c>
      <c r="E9" s="19">
        <v>3507.03</v>
      </c>
      <c r="F9" s="19">
        <v>1286.61</v>
      </c>
      <c r="G9" s="19">
        <v>3570.21</v>
      </c>
      <c r="H9" s="19">
        <v>0</v>
      </c>
      <c r="I9" s="19">
        <v>1247.48</v>
      </c>
      <c r="J9" s="19">
        <v>40908.51</v>
      </c>
      <c r="K9" s="19">
        <v>0</v>
      </c>
      <c r="L9" s="19">
        <v>14859.83</v>
      </c>
      <c r="M9" s="19">
        <v>5246.31</v>
      </c>
      <c r="N9" s="21">
        <f aca="true" t="shared" si="0" ref="N9:N15">0+B9+C9+D9+E9+F9+G9+H9+I9+J9+K9+K9+L9+M9</f>
        <v>99345.25</v>
      </c>
    </row>
    <row r="10" spans="1:14" s="3" customFormat="1" ht="21.75" customHeight="1">
      <c r="A10" s="22" t="s">
        <v>25</v>
      </c>
      <c r="B10" s="19">
        <v>8160</v>
      </c>
      <c r="C10" s="19">
        <v>11265</v>
      </c>
      <c r="D10" s="19">
        <v>12520</v>
      </c>
      <c r="E10" s="19">
        <v>12810</v>
      </c>
      <c r="F10" s="19">
        <v>13320</v>
      </c>
      <c r="G10" s="19">
        <v>11150</v>
      </c>
      <c r="H10" s="19">
        <v>11675</v>
      </c>
      <c r="I10" s="19">
        <v>11895</v>
      </c>
      <c r="J10" s="19">
        <v>9600</v>
      </c>
      <c r="K10" s="19">
        <v>9175</v>
      </c>
      <c r="L10" s="19">
        <v>8395</v>
      </c>
      <c r="M10" s="19">
        <v>7850</v>
      </c>
      <c r="N10" s="21">
        <f>SUM(B10:M10)</f>
        <v>127815</v>
      </c>
    </row>
    <row r="11" spans="1:14" s="3" customFormat="1" ht="21.75" customHeight="1">
      <c r="A11" s="22" t="s">
        <v>26</v>
      </c>
      <c r="B11" s="19">
        <v>20100</v>
      </c>
      <c r="C11" s="19">
        <v>6950</v>
      </c>
      <c r="D11" s="19">
        <v>7700</v>
      </c>
      <c r="E11" s="19">
        <v>23920</v>
      </c>
      <c r="F11" s="19">
        <v>6150</v>
      </c>
      <c r="G11" s="19">
        <v>9150</v>
      </c>
      <c r="H11" s="19">
        <v>0</v>
      </c>
      <c r="I11" s="19">
        <v>24350</v>
      </c>
      <c r="J11" s="19">
        <v>10150</v>
      </c>
      <c r="K11" s="19">
        <v>16105</v>
      </c>
      <c r="L11" s="19">
        <v>16600</v>
      </c>
      <c r="M11" s="19">
        <v>1200</v>
      </c>
      <c r="N11" s="21">
        <f>SUM(B11:M11)</f>
        <v>142375</v>
      </c>
    </row>
    <row r="12" spans="1:14" s="3" customFormat="1" ht="21.75" customHeight="1">
      <c r="A12" s="22" t="s">
        <v>27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>
        <v>0</v>
      </c>
      <c r="N12" s="21">
        <f t="shared" si="0"/>
        <v>0</v>
      </c>
    </row>
    <row r="13" spans="1:14" s="3" customFormat="1" ht="21.75" customHeight="1">
      <c r="A13" s="22" t="s">
        <v>28</v>
      </c>
      <c r="B13" s="20">
        <v>40338</v>
      </c>
      <c r="C13" s="20">
        <f>664838.77+630085.99</f>
        <v>1294924.76</v>
      </c>
      <c r="D13" s="20">
        <f>145123.73+182101.01+7040.7</f>
        <v>334265.44</v>
      </c>
      <c r="E13" s="20">
        <f>1647336.34+470531.61</f>
        <v>2117867.95</v>
      </c>
      <c r="F13" s="20">
        <f>796204.73+480379.47</f>
        <v>1276584.2</v>
      </c>
      <c r="G13" s="20">
        <f>1388373.87+402329.36</f>
        <v>1790703.23</v>
      </c>
      <c r="H13" s="20">
        <f>871888.91+493670.73</f>
        <v>1365559.6400000001</v>
      </c>
      <c r="I13" s="20">
        <f>737993.5+553803.28</f>
        <v>1291796.78</v>
      </c>
      <c r="J13" s="20">
        <f>767925.34+495256.74</f>
        <v>1263182.08</v>
      </c>
      <c r="K13" s="20">
        <f>862737.1+405346.53</f>
        <v>1268083.63</v>
      </c>
      <c r="L13" s="20">
        <f>87576.49+254169.17+29311.38+74295+786887.46+5577.51</f>
        <v>1237817.01</v>
      </c>
      <c r="M13" s="20">
        <f>557931.26+834357.07</f>
        <v>1392288.33</v>
      </c>
      <c r="N13" s="21">
        <f>SUM(B13:M13)</f>
        <v>14673411.05</v>
      </c>
    </row>
    <row r="14" spans="1:14" s="3" customFormat="1" ht="21.75" customHeight="1">
      <c r="A14" s="22" t="s">
        <v>29</v>
      </c>
      <c r="B14" s="19">
        <v>0</v>
      </c>
      <c r="C14" s="19">
        <v>1999241</v>
      </c>
      <c r="D14" s="19">
        <v>1310134</v>
      </c>
      <c r="E14" s="19">
        <f>154733+338000</f>
        <v>492733</v>
      </c>
      <c r="F14" s="19">
        <v>0</v>
      </c>
      <c r="G14" s="19"/>
      <c r="H14" s="19">
        <f>154732+338000</f>
        <v>492732</v>
      </c>
      <c r="I14" s="19">
        <v>0</v>
      </c>
      <c r="J14" s="19">
        <v>5874</v>
      </c>
      <c r="K14" s="19">
        <f>145200+310500</f>
        <v>455700</v>
      </c>
      <c r="L14" s="19">
        <v>14453</v>
      </c>
      <c r="M14" s="19">
        <v>221005</v>
      </c>
      <c r="N14" s="21">
        <f>SUM(B14:M14)</f>
        <v>4991872</v>
      </c>
    </row>
    <row r="15" spans="1:15" s="3" customFormat="1" ht="21.75" customHeight="1">
      <c r="A15" s="22" t="s">
        <v>30</v>
      </c>
      <c r="B15" s="19">
        <v>0</v>
      </c>
      <c r="C15" s="19">
        <v>2166150</v>
      </c>
      <c r="D15" s="19">
        <f>1205100+386400+481050</f>
        <v>2072550</v>
      </c>
      <c r="E15" s="19">
        <f>7500+7710+771</f>
        <v>15981</v>
      </c>
      <c r="F15" s="19">
        <v>0</v>
      </c>
      <c r="G15" s="19">
        <f>7710+771</f>
        <v>8481</v>
      </c>
      <c r="H15" s="19">
        <f>1205100+386400+7500+474900</f>
        <v>2073900</v>
      </c>
      <c r="I15" s="19">
        <v>0</v>
      </c>
      <c r="J15" s="19">
        <v>440340</v>
      </c>
      <c r="K15" s="19">
        <f>1205100+386400+7500</f>
        <v>1599000</v>
      </c>
      <c r="L15" s="19">
        <v>31260</v>
      </c>
      <c r="M15" s="19">
        <v>0</v>
      </c>
      <c r="N15" s="21">
        <f t="shared" si="0"/>
        <v>10006662</v>
      </c>
      <c r="O15" s="23"/>
    </row>
    <row r="16" spans="1:14" s="3" customFormat="1" ht="21.75" customHeight="1">
      <c r="A16" s="22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1"/>
    </row>
    <row r="17" spans="1:14" s="3" customFormat="1" ht="21.75" customHeight="1" thickBot="1">
      <c r="A17" s="31" t="s">
        <v>31</v>
      </c>
      <c r="B17" s="39">
        <f aca="true" t="shared" si="1" ref="B17:K17">SUM(B7:B16)</f>
        <v>87028.8</v>
      </c>
      <c r="C17" s="29">
        <f t="shared" si="1"/>
        <v>5480189.46</v>
      </c>
      <c r="D17" s="29">
        <f t="shared" si="1"/>
        <v>3747797.31</v>
      </c>
      <c r="E17" s="29">
        <f t="shared" si="1"/>
        <v>2677762.85</v>
      </c>
      <c r="F17" s="29">
        <f t="shared" si="1"/>
        <v>1321951.71</v>
      </c>
      <c r="G17" s="29">
        <f t="shared" si="1"/>
        <v>1833701.04</v>
      </c>
      <c r="H17" s="29">
        <f t="shared" si="1"/>
        <v>3998244.6</v>
      </c>
      <c r="I17" s="29">
        <f t="shared" si="1"/>
        <v>1336905.1400000001</v>
      </c>
      <c r="J17" s="29">
        <f t="shared" si="1"/>
        <v>1770665.49</v>
      </c>
      <c r="K17" s="29">
        <f t="shared" si="1"/>
        <v>3348339.63</v>
      </c>
      <c r="L17" s="29">
        <f>SUM(L7:L16)</f>
        <v>1323656.84</v>
      </c>
      <c r="M17" s="29">
        <f>SUM(M7:M16)</f>
        <v>1631239.6400000001</v>
      </c>
      <c r="N17" s="30">
        <f>+B17+C17+D17+E17+F17+G17+H17+I17+J17+K17+L17+M17</f>
        <v>28557482.509999998</v>
      </c>
    </row>
    <row r="18" spans="1:14" s="3" customFormat="1" ht="21.75" customHeight="1" thickTop="1">
      <c r="A18" s="37" t="s">
        <v>32</v>
      </c>
      <c r="B18" s="13" t="s">
        <v>0</v>
      </c>
      <c r="C18" s="13" t="s">
        <v>1</v>
      </c>
      <c r="D18" s="13" t="s">
        <v>2</v>
      </c>
      <c r="E18" s="13" t="s">
        <v>3</v>
      </c>
      <c r="F18" s="13" t="s">
        <v>4</v>
      </c>
      <c r="G18" s="13" t="s">
        <v>5</v>
      </c>
      <c r="H18" s="13" t="s">
        <v>6</v>
      </c>
      <c r="I18" s="13" t="s">
        <v>7</v>
      </c>
      <c r="J18" s="13" t="s">
        <v>8</v>
      </c>
      <c r="K18" s="13" t="s">
        <v>9</v>
      </c>
      <c r="L18" s="13" t="s">
        <v>10</v>
      </c>
      <c r="M18" s="13" t="s">
        <v>11</v>
      </c>
      <c r="N18" s="38" t="s">
        <v>20</v>
      </c>
    </row>
    <row r="19" spans="1:14" s="3" customFormat="1" ht="21.75" customHeight="1">
      <c r="A19" s="35" t="s">
        <v>34</v>
      </c>
      <c r="B19" s="36">
        <f>7953+557400</f>
        <v>565353</v>
      </c>
      <c r="C19" s="36">
        <f>558200+7953</f>
        <v>566153</v>
      </c>
      <c r="D19" s="36">
        <f>558200+154550+7953</f>
        <v>720703</v>
      </c>
      <c r="E19" s="36">
        <v>566953</v>
      </c>
      <c r="F19" s="36">
        <f>555900+130000+7953</f>
        <v>693853</v>
      </c>
      <c r="G19" s="36">
        <f>557500+32720+7953</f>
        <v>598173</v>
      </c>
      <c r="H19" s="36">
        <f>411000+144800+2500</f>
        <v>558300</v>
      </c>
      <c r="I19" s="36">
        <f>555100+13028+7953</f>
        <v>576081</v>
      </c>
      <c r="J19" s="36">
        <f>552400+7953</f>
        <v>560353</v>
      </c>
      <c r="K19" s="36">
        <f>554000+29500+7953</f>
        <v>591453</v>
      </c>
      <c r="L19" s="36">
        <v>573053</v>
      </c>
      <c r="M19" s="36">
        <f>553400+60000+15906+81500-700</f>
        <v>710106</v>
      </c>
      <c r="N19" s="17">
        <f aca="true" t="shared" si="2" ref="N19:N30">SUM(B19:M19)</f>
        <v>7280534</v>
      </c>
    </row>
    <row r="20" spans="1:14" s="3" customFormat="1" ht="21.75" customHeight="1">
      <c r="A20" s="14" t="s">
        <v>35</v>
      </c>
      <c r="B20" s="16">
        <v>199860</v>
      </c>
      <c r="C20" s="16">
        <v>199860</v>
      </c>
      <c r="D20" s="16">
        <v>199860</v>
      </c>
      <c r="E20" s="16">
        <v>199860</v>
      </c>
      <c r="F20" s="16">
        <v>199860</v>
      </c>
      <c r="G20" s="16">
        <v>199860</v>
      </c>
      <c r="H20" s="16">
        <v>199860</v>
      </c>
      <c r="I20" s="16">
        <v>199860</v>
      </c>
      <c r="J20" s="16">
        <v>199860</v>
      </c>
      <c r="K20" s="16">
        <v>199860</v>
      </c>
      <c r="L20" s="16">
        <v>199860</v>
      </c>
      <c r="M20" s="16">
        <v>199860</v>
      </c>
      <c r="N20" s="17">
        <f t="shared" si="2"/>
        <v>2398320</v>
      </c>
    </row>
    <row r="21" spans="1:14" s="3" customFormat="1" ht="21.75" customHeight="1">
      <c r="A21" s="14" t="s">
        <v>36</v>
      </c>
      <c r="B21" s="16">
        <f>481630+7555+17500</f>
        <v>506685</v>
      </c>
      <c r="C21" s="16">
        <f>484095+7000+17500</f>
        <v>508595</v>
      </c>
      <c r="D21" s="16">
        <f>483950+7000+17500</f>
        <v>508450</v>
      </c>
      <c r="E21" s="16">
        <f>463935+7000+17500-400</f>
        <v>488035</v>
      </c>
      <c r="F21" s="16">
        <f>456530+7000+17500</f>
        <v>481030</v>
      </c>
      <c r="G21" s="16">
        <f>456822+7000+17500</f>
        <v>481322</v>
      </c>
      <c r="H21" s="16">
        <f>493320+7000+17500</f>
        <v>517820</v>
      </c>
      <c r="I21" s="16">
        <f>494220+7000+17500</f>
        <v>518720</v>
      </c>
      <c r="J21" s="16">
        <f>494220+7000+17500</f>
        <v>518720</v>
      </c>
      <c r="K21" s="16">
        <f>494220+7000+17500</f>
        <v>518720</v>
      </c>
      <c r="L21" s="16">
        <f>494220+7000+17500</f>
        <v>518720</v>
      </c>
      <c r="M21" s="16">
        <f>486664+7000+17500</f>
        <v>511164</v>
      </c>
      <c r="N21" s="17">
        <f t="shared" si="2"/>
        <v>6077981</v>
      </c>
    </row>
    <row r="22" spans="1:14" s="3" customFormat="1" ht="21.75" customHeight="1">
      <c r="A22" s="14" t="s">
        <v>38</v>
      </c>
      <c r="B22" s="16">
        <f aca="true" t="shared" si="3" ref="B22:K22">167590+5285</f>
        <v>172875</v>
      </c>
      <c r="C22" s="16">
        <f t="shared" si="3"/>
        <v>172875</v>
      </c>
      <c r="D22" s="16">
        <f t="shared" si="3"/>
        <v>172875</v>
      </c>
      <c r="E22" s="16">
        <f t="shared" si="3"/>
        <v>172875</v>
      </c>
      <c r="F22" s="16">
        <f t="shared" si="3"/>
        <v>172875</v>
      </c>
      <c r="G22" s="16">
        <f t="shared" si="3"/>
        <v>172875</v>
      </c>
      <c r="H22" s="16">
        <f t="shared" si="3"/>
        <v>172875</v>
      </c>
      <c r="I22" s="16">
        <f t="shared" si="3"/>
        <v>172875</v>
      </c>
      <c r="J22" s="16">
        <f t="shared" si="3"/>
        <v>172875</v>
      </c>
      <c r="K22" s="16">
        <f t="shared" si="3"/>
        <v>172875</v>
      </c>
      <c r="L22" s="16">
        <f>167590+5285</f>
        <v>172875</v>
      </c>
      <c r="M22" s="16">
        <f>167590+5285</f>
        <v>172875</v>
      </c>
      <c r="N22" s="17">
        <f t="shared" si="2"/>
        <v>2074500</v>
      </c>
    </row>
    <row r="23" spans="1:14" s="3" customFormat="1" ht="21.75" customHeight="1">
      <c r="A23" s="14" t="s">
        <v>39</v>
      </c>
      <c r="B23" s="16">
        <v>3000</v>
      </c>
      <c r="C23" s="16">
        <v>36000</v>
      </c>
      <c r="D23" s="16">
        <v>20800</v>
      </c>
      <c r="E23" s="16">
        <f>45100+29100</f>
        <v>74200</v>
      </c>
      <c r="F23" s="16">
        <v>20800</v>
      </c>
      <c r="G23" s="16">
        <f>47740-3000</f>
        <v>44740</v>
      </c>
      <c r="H23" s="16">
        <v>22900</v>
      </c>
      <c r="I23" s="16">
        <v>40000</v>
      </c>
      <c r="J23" s="16">
        <v>23800</v>
      </c>
      <c r="K23" s="16">
        <v>34450</v>
      </c>
      <c r="L23" s="16">
        <v>24900</v>
      </c>
      <c r="M23" s="16">
        <v>76791</v>
      </c>
      <c r="N23" s="17">
        <f t="shared" si="2"/>
        <v>422381</v>
      </c>
    </row>
    <row r="24" spans="1:14" s="3" customFormat="1" ht="21.75" customHeight="1">
      <c r="A24" s="14" t="s">
        <v>40</v>
      </c>
      <c r="B24" s="15">
        <f>52250+6670</f>
        <v>58920</v>
      </c>
      <c r="C24" s="15">
        <f>18860+12064+374463</f>
        <v>405387</v>
      </c>
      <c r="D24" s="15">
        <f>18840+20912+1370+11220+126545.09</f>
        <v>178887.09</v>
      </c>
      <c r="E24" s="15">
        <v>335900</v>
      </c>
      <c r="F24" s="15">
        <v>362076</v>
      </c>
      <c r="G24" s="15">
        <v>272377</v>
      </c>
      <c r="H24" s="15">
        <v>272804</v>
      </c>
      <c r="I24" s="15">
        <v>615506.3</v>
      </c>
      <c r="J24" s="15">
        <v>315739.9</v>
      </c>
      <c r="K24" s="15">
        <v>146970</v>
      </c>
      <c r="L24" s="15">
        <f>332935.1+5550+12280+4140+4140</f>
        <v>359045.1</v>
      </c>
      <c r="M24" s="15">
        <f>3178+3658+3818+3658+2978+47800+223962.06-0.1+3600</f>
        <v>292651.96</v>
      </c>
      <c r="N24" s="17">
        <f t="shared" si="2"/>
        <v>3616264.3499999996</v>
      </c>
    </row>
    <row r="25" spans="1:14" s="3" customFormat="1" ht="21.75" customHeight="1">
      <c r="A25" s="14" t="s">
        <v>41</v>
      </c>
      <c r="B25" s="15">
        <v>73361.16</v>
      </c>
      <c r="C25" s="15">
        <v>72131.16</v>
      </c>
      <c r="D25" s="15">
        <v>71657.06</v>
      </c>
      <c r="E25" s="15">
        <v>82541.78</v>
      </c>
      <c r="F25" s="15">
        <v>78586.2</v>
      </c>
      <c r="G25" s="15">
        <v>108961.92</v>
      </c>
      <c r="H25" s="15">
        <v>137726.52</v>
      </c>
      <c r="I25" s="15">
        <v>86532.48</v>
      </c>
      <c r="J25" s="15">
        <v>47570</v>
      </c>
      <c r="K25" s="15">
        <v>202472.82</v>
      </c>
      <c r="L25" s="15">
        <v>31981</v>
      </c>
      <c r="M25" s="15">
        <f>206652.2-0.1-3600</f>
        <v>203052.1</v>
      </c>
      <c r="N25" s="17">
        <f t="shared" si="2"/>
        <v>1196574.2000000002</v>
      </c>
    </row>
    <row r="26" spans="1:14" s="3" customFormat="1" ht="21.75" customHeight="1">
      <c r="A26" s="14" t="s">
        <v>42</v>
      </c>
      <c r="B26" s="18">
        <v>0</v>
      </c>
      <c r="C26" s="18">
        <v>31822.55</v>
      </c>
      <c r="D26" s="18">
        <v>31842.08</v>
      </c>
      <c r="E26" s="18">
        <v>20356.62</v>
      </c>
      <c r="F26" s="18">
        <v>0</v>
      </c>
      <c r="G26" s="18">
        <v>54678.47</v>
      </c>
      <c r="H26" s="18">
        <v>25538.99</v>
      </c>
      <c r="I26" s="18">
        <v>20276.97</v>
      </c>
      <c r="J26" s="18">
        <v>31143.98</v>
      </c>
      <c r="K26" s="18">
        <v>26878.32</v>
      </c>
      <c r="L26" s="18">
        <v>33614.13</v>
      </c>
      <c r="M26" s="18">
        <v>15741.33</v>
      </c>
      <c r="N26" s="17">
        <f t="shared" si="2"/>
        <v>291893.44</v>
      </c>
    </row>
    <row r="27" spans="1:14" s="3" customFormat="1" ht="21.75" customHeight="1">
      <c r="A27" s="14" t="s">
        <v>43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20900</v>
      </c>
      <c r="J27" s="18">
        <v>15900</v>
      </c>
      <c r="K27" s="18">
        <v>0</v>
      </c>
      <c r="L27" s="18">
        <v>15690</v>
      </c>
      <c r="M27" s="18">
        <v>0</v>
      </c>
      <c r="N27" s="17">
        <f t="shared" si="2"/>
        <v>52490</v>
      </c>
    </row>
    <row r="28" spans="1:14" s="3" customFormat="1" ht="21.75" customHeight="1">
      <c r="A28" s="14" t="s">
        <v>44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146000</v>
      </c>
      <c r="H28" s="18">
        <v>53000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7">
        <f t="shared" si="2"/>
        <v>199000</v>
      </c>
    </row>
    <row r="29" spans="1:14" s="3" customFormat="1" ht="21.75" customHeight="1">
      <c r="A29" s="14" t="s">
        <v>45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7">
        <f t="shared" si="2"/>
        <v>0</v>
      </c>
    </row>
    <row r="30" spans="1:14" s="3" customFormat="1" ht="21.75" customHeight="1">
      <c r="A30" s="14" t="s">
        <v>46</v>
      </c>
      <c r="B30" s="18">
        <v>496000</v>
      </c>
      <c r="C30" s="18">
        <v>0</v>
      </c>
      <c r="D30" s="18">
        <v>0</v>
      </c>
      <c r="E30" s="18">
        <v>10000</v>
      </c>
      <c r="F30" s="18">
        <v>0</v>
      </c>
      <c r="G30" s="18">
        <v>0</v>
      </c>
      <c r="H30" s="18">
        <v>0</v>
      </c>
      <c r="I30" s="18">
        <v>450000</v>
      </c>
      <c r="J30" s="18">
        <v>18000</v>
      </c>
      <c r="K30" s="18">
        <v>210000</v>
      </c>
      <c r="L30" s="18">
        <v>-7272.72</v>
      </c>
      <c r="M30" s="18">
        <v>-5514.78</v>
      </c>
      <c r="N30" s="17">
        <f t="shared" si="2"/>
        <v>1171212.5</v>
      </c>
    </row>
    <row r="31" spans="1:14" s="3" customFormat="1" ht="21.75" customHeigh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14" ht="21.75" customHeight="1" thickBot="1">
      <c r="A32" s="27" t="s">
        <v>33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33">
        <f>SUM(N19:N31)</f>
        <v>24781150.490000002</v>
      </c>
    </row>
    <row r="33" spans="1:14" ht="28.5" customHeight="1" thickTop="1">
      <c r="A33" s="4"/>
      <c r="B33" s="5"/>
      <c r="C33" s="6"/>
      <c r="D33" s="5"/>
      <c r="E33" s="5"/>
      <c r="F33" s="5"/>
      <c r="G33" s="5"/>
      <c r="H33" s="5"/>
      <c r="I33" s="5"/>
      <c r="J33" s="5"/>
      <c r="K33" s="32" t="s">
        <v>37</v>
      </c>
      <c r="L33" s="32"/>
      <c r="M33" s="32"/>
      <c r="N33" s="34">
        <f>+N17-N32</f>
        <v>3776332.019999996</v>
      </c>
    </row>
    <row r="34" spans="1:14" ht="21">
      <c r="A34" s="40" t="s">
        <v>15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</sheetData>
  <sheetProtection/>
  <mergeCells count="6">
    <mergeCell ref="A34:N34"/>
    <mergeCell ref="A5:A6"/>
    <mergeCell ref="A1:N1"/>
    <mergeCell ref="A2:N2"/>
    <mergeCell ref="A3:N3"/>
    <mergeCell ref="N5:N6"/>
  </mergeCells>
  <printOptions horizontalCentered="1"/>
  <pageMargins left="0.2755905511811024" right="0.15748031496062992" top="0.2755905511811024" bottom="0.15748031496062992" header="0.2755905511811024" footer="0.15748031496062992"/>
  <pageSetup horizontalDpi="300" verticalDpi="300" orientation="landscape" paperSize="9" scale="73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Windows7</cp:lastModifiedBy>
  <cp:lastPrinted>2019-03-13T01:42:55Z</cp:lastPrinted>
  <dcterms:created xsi:type="dcterms:W3CDTF">2012-03-29T08:43:14Z</dcterms:created>
  <dcterms:modified xsi:type="dcterms:W3CDTF">2019-06-27T04:00:36Z</dcterms:modified>
  <cp:category/>
  <cp:version/>
  <cp:contentType/>
  <cp:contentStatus/>
</cp:coreProperties>
</file>